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14576jb\Documents\Lab-work\Microanalysis\20220117\"/>
    </mc:Choice>
  </mc:AlternateContent>
  <xr:revisionPtr revIDLastSave="0" documentId="13_ncr:1_{638177B9-F2EA-4241-8A90-744004BCAB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3" i="1"/>
  <c r="U10" i="1"/>
  <c r="U11" i="1"/>
  <c r="U4" i="1"/>
  <c r="U5" i="1"/>
  <c r="U6" i="1"/>
  <c r="U7" i="1"/>
  <c r="U8" i="1"/>
  <c r="U3" i="1"/>
  <c r="G11" i="1"/>
  <c r="G10" i="1"/>
  <c r="T4" i="1"/>
  <c r="T5" i="1"/>
  <c r="T6" i="1"/>
  <c r="T7" i="1"/>
  <c r="T8" i="1"/>
  <c r="T3" i="1"/>
  <c r="L10" i="1" l="1"/>
  <c r="D11" i="1"/>
  <c r="E11" i="1"/>
  <c r="F11" i="1"/>
  <c r="H11" i="1"/>
  <c r="I11" i="1"/>
  <c r="J11" i="1"/>
  <c r="K11" i="1"/>
  <c r="M11" i="1"/>
  <c r="N11" i="1"/>
  <c r="O11" i="1"/>
  <c r="P11" i="1"/>
  <c r="Q11" i="1"/>
  <c r="R11" i="1"/>
  <c r="S11" i="1"/>
  <c r="T11" i="1"/>
  <c r="C11" i="1"/>
  <c r="T10" i="1"/>
  <c r="J10" i="1"/>
  <c r="K10" i="1"/>
  <c r="M10" i="1"/>
  <c r="N10" i="1"/>
  <c r="O10" i="1"/>
  <c r="P10" i="1"/>
  <c r="Q10" i="1"/>
  <c r="R10" i="1"/>
  <c r="S10" i="1"/>
  <c r="D10" i="1"/>
  <c r="E10" i="1"/>
  <c r="F10" i="1"/>
  <c r="H10" i="1"/>
  <c r="I10" i="1"/>
  <c r="C10" i="1"/>
  <c r="S4" i="1"/>
  <c r="S5" i="1"/>
  <c r="S6" i="1"/>
  <c r="S7" i="1"/>
  <c r="S8" i="1"/>
  <c r="S3" i="1"/>
  <c r="L11" i="1" l="1"/>
  <c r="J6" i="1"/>
  <c r="K6" i="1" s="1"/>
  <c r="N6" i="1" s="1"/>
  <c r="J4" i="1"/>
  <c r="J5" i="1"/>
  <c r="J7" i="1"/>
  <c r="K7" i="1" s="1"/>
  <c r="N7" i="1" s="1"/>
  <c r="J8" i="1"/>
  <c r="K8" i="1" s="1"/>
  <c r="N8" i="1" s="1"/>
  <c r="J3" i="1"/>
  <c r="C22" i="1"/>
  <c r="C21" i="1"/>
  <c r="I6" i="1"/>
  <c r="I3" i="1"/>
  <c r="I4" i="1"/>
  <c r="I5" i="1"/>
  <c r="I7" i="1"/>
  <c r="I8" i="1"/>
  <c r="P7" i="1" l="1"/>
  <c r="Q7" i="1"/>
  <c r="P6" i="1"/>
  <c r="Q6" i="1"/>
  <c r="P8" i="1"/>
  <c r="Q8" i="1"/>
  <c r="P5" i="1"/>
  <c r="Q5" i="1"/>
  <c r="P4" i="1"/>
  <c r="Q4" i="1"/>
  <c r="P3" i="1"/>
  <c r="Q3" i="1"/>
  <c r="M3" i="1"/>
  <c r="M5" i="1"/>
  <c r="K5" i="1"/>
  <c r="N5" i="1" s="1"/>
  <c r="M4" i="1"/>
  <c r="K4" i="1"/>
  <c r="N4" i="1" s="1"/>
  <c r="M8" i="1"/>
  <c r="M7" i="1"/>
  <c r="K3" i="1"/>
  <c r="N3" i="1" s="1"/>
  <c r="M6" i="1"/>
  <c r="R5" i="1" l="1"/>
  <c r="R3" i="1"/>
  <c r="O8" i="1"/>
  <c r="R8" i="1"/>
  <c r="O7" i="1"/>
  <c r="R7" i="1"/>
  <c r="O6" i="1"/>
  <c r="R6" i="1"/>
  <c r="O4" i="1"/>
  <c r="R4" i="1"/>
  <c r="O5" i="1"/>
  <c r="O3" i="1"/>
</calcChain>
</file>

<file path=xl/sharedStrings.xml><?xml version="1.0" encoding="utf-8"?>
<sst xmlns="http://schemas.openxmlformats.org/spreadsheetml/2006/main" count="47" uniqueCount="41">
  <si>
    <t>Synth Date</t>
  </si>
  <si>
    <t>Type</t>
  </si>
  <si>
    <t>Sediment</t>
  </si>
  <si>
    <t>Composition</t>
  </si>
  <si>
    <t>C / wt%</t>
  </si>
  <si>
    <t>H / wt%</t>
  </si>
  <si>
    <t>Cl / wt%</t>
  </si>
  <si>
    <t>Ti / wt%</t>
  </si>
  <si>
    <t>Al / wt%</t>
  </si>
  <si>
    <t>Li / wt%</t>
  </si>
  <si>
    <t>Bal. / wt%</t>
  </si>
  <si>
    <t>&lt; 0.3</t>
  </si>
  <si>
    <t>Product</t>
  </si>
  <si>
    <t>Element</t>
  </si>
  <si>
    <t>M_r / gmol^-1</t>
  </si>
  <si>
    <t>Si</t>
  </si>
  <si>
    <t>O</t>
  </si>
  <si>
    <t>Ti</t>
  </si>
  <si>
    <t>C</t>
  </si>
  <si>
    <t>Al</t>
  </si>
  <si>
    <t>f(Ti)</t>
  </si>
  <si>
    <t>MAX</t>
  </si>
  <si>
    <t>MXene</t>
  </si>
  <si>
    <t>[Ti]_MXene / wt%</t>
  </si>
  <si>
    <t>Purity / %</t>
  </si>
  <si>
    <t>Calculations</t>
  </si>
  <si>
    <t>Ti MX stoich</t>
  </si>
  <si>
    <t>C MX stoich</t>
  </si>
  <si>
    <t>Ti / C MX</t>
  </si>
  <si>
    <t>SUM Tx</t>
  </si>
  <si>
    <t>Bal. stoich</t>
  </si>
  <si>
    <t>F</t>
  </si>
  <si>
    <t>Ti : O/F rat</t>
  </si>
  <si>
    <t>Cl stoich</t>
  </si>
  <si>
    <t>Cl</t>
  </si>
  <si>
    <t>PRODUCT</t>
  </si>
  <si>
    <t>st.dev. Non Ox.</t>
  </si>
  <si>
    <t>ave. Non. Ox.</t>
  </si>
  <si>
    <t>Ti:Tx rat.</t>
  </si>
  <si>
    <t>Max. [MXene] /wt%</t>
  </si>
  <si>
    <t>Min. [MXene] 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</si>
</sst>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1" xfId="0" applyBorder="1"/>
    <xf numFmtId="2" fontId="0" fillId="0" borderId="0" xfId="0" applyNumberFormat="1"/>
    <xf numFmtId="1" fontId="0" fillId="0" borderId="0" xfId="0" applyNumberFormat="1"/>
    <xf numFmtId="0" fontId="1" fillId="0" borderId="2" xfId="0" applyFont="1" applyBorder="1" applyAlignment="1">
      <alignment horizontal="center"/>
    </xf>
    <xf numFmtId="0" fontId="0" fillId="0" borderId="3" xfId="0" applyBorder="1"/>
    <xf numFmtId="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"/>
  <sheetViews>
    <sheetView tabSelected="1" workbookViewId="0">
      <selection activeCell="M18" sqref="M18"/>
    </sheetView>
  </sheetViews>
  <sheetFormatPr defaultRowHeight="15" x14ac:dyDescent="0.25"/>
  <cols>
    <col min="1" max="1" width="10.7109375" bestFit="1" customWidth="1"/>
    <col min="2" max="2" width="14.7109375" bestFit="1" customWidth="1"/>
    <col min="3" max="3" width="7.7109375" bestFit="1" customWidth="1"/>
    <col min="4" max="4" width="7.85546875" bestFit="1" customWidth="1"/>
    <col min="5" max="5" width="8.28515625" bestFit="1" customWidth="1"/>
    <col min="6" max="6" width="8.140625" bestFit="1" customWidth="1"/>
    <col min="7" max="7" width="8.42578125" bestFit="1" customWidth="1"/>
    <col min="8" max="8" width="8" bestFit="1" customWidth="1"/>
    <col min="9" max="9" width="9.85546875" bestFit="1" customWidth="1"/>
    <col min="10" max="10" width="17" bestFit="1" customWidth="1"/>
    <col min="11" max="11" width="9.5703125" bestFit="1" customWidth="1"/>
    <col min="12" max="12" width="18.85546875" bestFit="1" customWidth="1"/>
    <col min="13" max="13" width="11.5703125" bestFit="1" customWidth="1"/>
    <col min="14" max="14" width="11.140625" bestFit="1" customWidth="1"/>
    <col min="15" max="15" width="8.7109375" bestFit="1" customWidth="1"/>
    <col min="17" max="17" width="10" bestFit="1" customWidth="1"/>
    <col min="18" max="18" width="10.140625" bestFit="1" customWidth="1"/>
    <col min="19" max="19" width="8.42578125" bestFit="1" customWidth="1"/>
    <col min="21" max="21" width="17.7109375" bestFit="1" customWidth="1"/>
  </cols>
  <sheetData>
    <row r="1" spans="1:21" x14ac:dyDescent="0.25">
      <c r="C1" s="5" t="s">
        <v>3</v>
      </c>
      <c r="D1" s="5"/>
      <c r="E1" s="5"/>
      <c r="F1" s="5"/>
      <c r="G1" s="5"/>
      <c r="H1" s="5"/>
      <c r="I1" s="5"/>
      <c r="J1" s="5" t="s">
        <v>25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5.75" thickBot="1" x14ac:dyDescent="0.3">
      <c r="A2" s="2" t="s">
        <v>0</v>
      </c>
      <c r="B2" s="2" t="s">
        <v>1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23</v>
      </c>
      <c r="K2" s="2" t="s">
        <v>24</v>
      </c>
      <c r="L2" s="2" t="s">
        <v>39</v>
      </c>
      <c r="M2" s="2" t="s">
        <v>26</v>
      </c>
      <c r="N2" s="2" t="s">
        <v>27</v>
      </c>
      <c r="O2" s="2" t="s">
        <v>28</v>
      </c>
      <c r="P2" s="2" t="s">
        <v>29</v>
      </c>
      <c r="Q2" s="2" t="s">
        <v>30</v>
      </c>
      <c r="R2" s="2" t="s">
        <v>32</v>
      </c>
      <c r="S2" s="2" t="s">
        <v>33</v>
      </c>
      <c r="T2" s="2" t="s">
        <v>38</v>
      </c>
      <c r="U2" s="10" t="s">
        <v>40</v>
      </c>
    </row>
    <row r="3" spans="1:21" ht="15.75" thickTop="1" x14ac:dyDescent="0.25">
      <c r="A3" s="1">
        <v>44480</v>
      </c>
      <c r="B3" t="s">
        <v>12</v>
      </c>
      <c r="C3">
        <v>12.92</v>
      </c>
      <c r="D3">
        <v>1.1499999999999999</v>
      </c>
      <c r="E3">
        <v>4.12</v>
      </c>
      <c r="F3">
        <v>63.64</v>
      </c>
      <c r="G3">
        <v>0.42</v>
      </c>
      <c r="H3">
        <v>0.36</v>
      </c>
      <c r="I3">
        <f>100-SUM(C3:H3)</f>
        <v>17.39</v>
      </c>
      <c r="J3" s="3">
        <f>F3-((G3*3*$B$18)/$B$20)</f>
        <v>61.404716477651768</v>
      </c>
      <c r="K3" s="3">
        <f>(J3/F3)*100</f>
        <v>96.487612315606171</v>
      </c>
      <c r="L3" s="3">
        <f>J3+I3+D3+E3+(C3*(K3/100))</f>
        <v>96.530915988828099</v>
      </c>
      <c r="M3" s="3">
        <f>J3/($B$18)</f>
        <v>1.282819405386838</v>
      </c>
      <c r="N3" s="3">
        <f>(C3*(K3/100))/($B$19)</f>
        <v>1.0378985522584563</v>
      </c>
      <c r="O3" s="3">
        <f>(M3/N3)</f>
        <v>1.2359776421264261</v>
      </c>
      <c r="P3">
        <f>D3+E3+I3</f>
        <v>22.66</v>
      </c>
      <c r="Q3" s="3">
        <f>I3/(($B$15+$B$16)/2)</f>
        <v>0.99379946852587364</v>
      </c>
      <c r="R3" s="3">
        <f>M3/Q3</f>
        <v>1.290823195236434</v>
      </c>
      <c r="S3" s="3">
        <f>E3/$B$17</f>
        <v>0.11622002820874471</v>
      </c>
      <c r="T3" s="3">
        <f>M3/(Q3+S3+D3)</f>
        <v>0.56761430918640976</v>
      </c>
      <c r="U3" s="3">
        <f>(C3*(K3/100))+J3</f>
        <v>73.870915988828088</v>
      </c>
    </row>
    <row r="4" spans="1:21" x14ac:dyDescent="0.25">
      <c r="A4" s="1">
        <v>44488</v>
      </c>
      <c r="B4" t="s">
        <v>12</v>
      </c>
      <c r="C4">
        <v>8.64</v>
      </c>
      <c r="D4">
        <v>0.56000000000000005</v>
      </c>
      <c r="E4">
        <v>3.01</v>
      </c>
      <c r="F4">
        <v>48.7</v>
      </c>
      <c r="G4">
        <v>0.32</v>
      </c>
      <c r="H4">
        <v>7.44</v>
      </c>
      <c r="I4">
        <f>100-SUM(C4:H4)</f>
        <v>31.33</v>
      </c>
      <c r="J4" s="3">
        <f>F4-((G4*3*$B$18)/$B$20)</f>
        <v>46.996926840115634</v>
      </c>
      <c r="K4" s="3">
        <f t="shared" ref="K4:K8" si="0">(J4/F4)*100</f>
        <v>96.502929856500273</v>
      </c>
      <c r="L4" s="3">
        <f t="shared" ref="L4:L8" si="1">J4+I4+D4+E4+(C4*(K4/100))</f>
        <v>90.23477997971726</v>
      </c>
      <c r="M4" s="3">
        <f t="shared" ref="M4:M8" si="2">J4/($B$18)</f>
        <v>0.98182311070498751</v>
      </c>
      <c r="N4" s="3">
        <f t="shared" ref="N4:N8" si="3">(C4*(K4/100))/($B$19)</f>
        <v>0.69418475893777576</v>
      </c>
      <c r="O4" s="3">
        <f t="shared" ref="O4:O8" si="4">(M4/N4)</f>
        <v>1.4143541730984541</v>
      </c>
      <c r="P4">
        <f t="shared" ref="P4:P8" si="5">D4+E4+I4</f>
        <v>34.9</v>
      </c>
      <c r="Q4" s="3">
        <f t="shared" ref="Q4:Q8" si="6">I4/(($B$15+$B$16)/2)</f>
        <v>1.7904391805011857</v>
      </c>
      <c r="R4" s="3">
        <f t="shared" ref="R4:R8" si="7">M4/Q4</f>
        <v>0.54836998731794528</v>
      </c>
      <c r="S4" s="3">
        <f t="shared" ref="S4:S8" si="8">E4/$B$17</f>
        <v>8.4908321579689694E-2</v>
      </c>
      <c r="T4" s="3">
        <f t="shared" ref="T4:T8" si="9">M4/(Q4+S4+D4)</f>
        <v>0.40315524165075889</v>
      </c>
      <c r="U4" s="3">
        <f t="shared" ref="U4:U8" si="10">(C4*(K4/100))+J4</f>
        <v>55.334779979717254</v>
      </c>
    </row>
    <row r="5" spans="1:21" x14ac:dyDescent="0.25">
      <c r="A5" s="1">
        <v>44516</v>
      </c>
      <c r="B5" t="s">
        <v>12</v>
      </c>
      <c r="C5">
        <v>10.59</v>
      </c>
      <c r="D5">
        <v>0.61</v>
      </c>
      <c r="E5">
        <v>4.71</v>
      </c>
      <c r="F5">
        <v>66.069999999999993</v>
      </c>
      <c r="G5">
        <v>0.35</v>
      </c>
      <c r="H5">
        <v>0.37</v>
      </c>
      <c r="I5">
        <f>100-SUM(C5:H5)</f>
        <v>17.300000000000011</v>
      </c>
      <c r="J5" s="3">
        <f>F5-((G5*3*$B$18)/$B$20)</f>
        <v>64.207263731376472</v>
      </c>
      <c r="K5" s="3">
        <f t="shared" si="0"/>
        <v>97.180662526678489</v>
      </c>
      <c r="L5" s="3">
        <f t="shared" si="1"/>
        <v>97.118695892951735</v>
      </c>
      <c r="M5" s="3">
        <f t="shared" si="2"/>
        <v>1.3413680350006576</v>
      </c>
      <c r="N5" s="3">
        <f t="shared" si="3"/>
        <v>0.85683391570853817</v>
      </c>
      <c r="O5" s="3">
        <f t="shared" si="4"/>
        <v>1.5654936276553031</v>
      </c>
      <c r="P5">
        <f t="shared" si="5"/>
        <v>22.620000000000012</v>
      </c>
      <c r="Q5" s="3">
        <f t="shared" si="6"/>
        <v>0.98865617052890309</v>
      </c>
      <c r="R5" s="3">
        <f t="shared" si="7"/>
        <v>1.3567588763271095</v>
      </c>
      <c r="S5" s="3">
        <f t="shared" si="8"/>
        <v>0.13286318758815233</v>
      </c>
      <c r="T5" s="3">
        <f t="shared" si="9"/>
        <v>0.77467689212515134</v>
      </c>
      <c r="U5" s="3">
        <f t="shared" si="10"/>
        <v>74.49869589295173</v>
      </c>
    </row>
    <row r="6" spans="1:21" x14ac:dyDescent="0.25">
      <c r="A6" s="1">
        <v>44536</v>
      </c>
      <c r="B6" t="s">
        <v>12</v>
      </c>
      <c r="C6">
        <v>9.9600000000000009</v>
      </c>
      <c r="D6">
        <v>0.62</v>
      </c>
      <c r="E6">
        <v>4.8899999999999997</v>
      </c>
      <c r="F6">
        <v>66.989999999999995</v>
      </c>
      <c r="G6" t="s">
        <v>11</v>
      </c>
      <c r="H6">
        <v>0.72</v>
      </c>
      <c r="I6">
        <f>100-SUM(C6:F6,H6)</f>
        <v>16.820000000000007</v>
      </c>
      <c r="J6" s="3">
        <f>F6</f>
        <v>66.989999999999995</v>
      </c>
      <c r="K6" s="4">
        <f t="shared" si="0"/>
        <v>100</v>
      </c>
      <c r="L6" s="3">
        <f t="shared" si="1"/>
        <v>99.28</v>
      </c>
      <c r="M6" s="3">
        <f t="shared" si="2"/>
        <v>1.3995027889777927</v>
      </c>
      <c r="N6" s="3">
        <f t="shared" si="3"/>
        <v>0.82923986345849654</v>
      </c>
      <c r="O6" s="3">
        <f t="shared" si="4"/>
        <v>1.6876935741377777</v>
      </c>
      <c r="P6">
        <f t="shared" si="5"/>
        <v>22.330000000000005</v>
      </c>
      <c r="Q6" s="3">
        <f t="shared" si="6"/>
        <v>0.96122524787839003</v>
      </c>
      <c r="R6" s="3">
        <f t="shared" si="7"/>
        <v>1.4559571672370923</v>
      </c>
      <c r="S6" s="3">
        <f t="shared" si="8"/>
        <v>0.13794076163610716</v>
      </c>
      <c r="T6" s="3">
        <f t="shared" si="9"/>
        <v>0.8140591317141157</v>
      </c>
      <c r="U6" s="3">
        <f t="shared" si="10"/>
        <v>76.949999999999989</v>
      </c>
    </row>
    <row r="7" spans="1:21" x14ac:dyDescent="0.25">
      <c r="A7" s="1">
        <v>44516</v>
      </c>
      <c r="B7" t="s">
        <v>2</v>
      </c>
      <c r="C7">
        <v>10.51</v>
      </c>
      <c r="D7">
        <v>0.39</v>
      </c>
      <c r="E7">
        <v>4.3</v>
      </c>
      <c r="F7">
        <v>69.59</v>
      </c>
      <c r="G7">
        <v>2.08</v>
      </c>
      <c r="H7">
        <v>0.33</v>
      </c>
      <c r="I7">
        <f>100-SUM(C7:H7)</f>
        <v>12.799999999999997</v>
      </c>
      <c r="J7" s="3">
        <f>F7-((G7*3*$B$18)/$B$20)</f>
        <v>58.520024460751614</v>
      </c>
      <c r="K7" s="3">
        <f t="shared" si="0"/>
        <v>84.092577181709459</v>
      </c>
      <c r="L7" s="3">
        <f t="shared" si="1"/>
        <v>84.848154322549277</v>
      </c>
      <c r="M7" s="3">
        <f t="shared" si="2"/>
        <v>1.2225546715012767</v>
      </c>
      <c r="N7" s="3">
        <f t="shared" si="3"/>
        <v>0.73583630520336907</v>
      </c>
      <c r="O7" s="3">
        <f t="shared" si="4"/>
        <v>1.6614492419796947</v>
      </c>
      <c r="P7">
        <f t="shared" si="5"/>
        <v>17.489999999999995</v>
      </c>
      <c r="Q7" s="3">
        <f t="shared" si="6"/>
        <v>0.73149127068034392</v>
      </c>
      <c r="R7" s="3">
        <f t="shared" si="7"/>
        <v>1.6713181968175854</v>
      </c>
      <c r="S7" s="3">
        <f t="shared" si="8"/>
        <v>0.12129760225669957</v>
      </c>
      <c r="T7" s="3">
        <f t="shared" si="9"/>
        <v>0.98371871371204989</v>
      </c>
      <c r="U7" s="3">
        <f t="shared" si="10"/>
        <v>67.358154322549282</v>
      </c>
    </row>
    <row r="8" spans="1:21" x14ac:dyDescent="0.25">
      <c r="A8" s="1">
        <v>44536</v>
      </c>
      <c r="B8" t="s">
        <v>2</v>
      </c>
      <c r="C8">
        <v>10.23</v>
      </c>
      <c r="D8">
        <v>0.36</v>
      </c>
      <c r="E8">
        <v>3.4</v>
      </c>
      <c r="F8">
        <v>69.25</v>
      </c>
      <c r="G8">
        <v>3.85</v>
      </c>
      <c r="H8" t="s">
        <v>11</v>
      </c>
      <c r="I8">
        <f>100-SUM(C8:G8)</f>
        <v>12.910000000000011</v>
      </c>
      <c r="J8" s="3">
        <f>F8-((G8*3*$B$18)/$B$20)</f>
        <v>48.759901045141206</v>
      </c>
      <c r="K8" s="3">
        <f t="shared" si="0"/>
        <v>70.411409451467449</v>
      </c>
      <c r="L8" s="3">
        <f t="shared" si="1"/>
        <v>72.632988232026335</v>
      </c>
      <c r="M8" s="3">
        <f t="shared" si="2"/>
        <v>1.0186537916548188</v>
      </c>
      <c r="N8" s="3">
        <f t="shared" si="3"/>
        <v>0.59970753366789775</v>
      </c>
      <c r="O8" s="3">
        <f t="shared" si="4"/>
        <v>1.6985842839501872</v>
      </c>
      <c r="P8">
        <f t="shared" si="5"/>
        <v>16.670000000000009</v>
      </c>
      <c r="Q8" s="3">
        <f t="shared" si="6"/>
        <v>0.73777752378775385</v>
      </c>
      <c r="R8" s="3">
        <f t="shared" si="7"/>
        <v>1.3807059158227601</v>
      </c>
      <c r="S8" s="3">
        <f t="shared" si="8"/>
        <v>9.5909732016925237E-2</v>
      </c>
      <c r="T8" s="3">
        <f t="shared" si="9"/>
        <v>0.85336740147077472</v>
      </c>
      <c r="U8" s="3">
        <f t="shared" si="10"/>
        <v>55.962988232026326</v>
      </c>
    </row>
    <row r="10" spans="1:21" x14ac:dyDescent="0.25">
      <c r="A10" s="6" t="s">
        <v>35</v>
      </c>
      <c r="B10" s="6" t="s">
        <v>37</v>
      </c>
      <c r="C10" s="7">
        <f>AVERAGE(C3,C5,C6)</f>
        <v>11.156666666666666</v>
      </c>
      <c r="D10" s="7">
        <f t="shared" ref="D10:T10" si="11">AVERAGE(D3,D5,D6)</f>
        <v>0.79333333333333333</v>
      </c>
      <c r="E10" s="7">
        <f t="shared" si="11"/>
        <v>4.5733333333333333</v>
      </c>
      <c r="F10" s="7">
        <f t="shared" si="11"/>
        <v>65.566666666666663</v>
      </c>
      <c r="G10" s="7">
        <f>AVERAGE(G3,G5,G4)</f>
        <v>0.36333333333333334</v>
      </c>
      <c r="H10" s="7">
        <f t="shared" si="11"/>
        <v>0.48333333333333334</v>
      </c>
      <c r="I10" s="7">
        <f t="shared" si="11"/>
        <v>17.170000000000005</v>
      </c>
      <c r="J10" s="7">
        <f t="shared" si="11"/>
        <v>64.200660069676076</v>
      </c>
      <c r="K10" s="7">
        <f t="shared" si="11"/>
        <v>97.889424947428211</v>
      </c>
      <c r="L10" s="7">
        <f t="shared" si="11"/>
        <v>97.643203960593269</v>
      </c>
      <c r="M10" s="7">
        <f t="shared" si="11"/>
        <v>1.341230076455096</v>
      </c>
      <c r="N10" s="7">
        <f t="shared" si="11"/>
        <v>0.9079907771418303</v>
      </c>
      <c r="O10" s="7">
        <f t="shared" si="11"/>
        <v>1.4963882813065024</v>
      </c>
      <c r="P10" s="7">
        <f t="shared" si="11"/>
        <v>22.536666666666672</v>
      </c>
      <c r="Q10" s="7">
        <f t="shared" si="11"/>
        <v>0.98122696231105555</v>
      </c>
      <c r="R10" s="7">
        <f t="shared" si="11"/>
        <v>1.3678464129335453</v>
      </c>
      <c r="S10" s="7">
        <f t="shared" si="11"/>
        <v>0.12900799247766806</v>
      </c>
      <c r="T10" s="7">
        <f t="shared" si="11"/>
        <v>0.71878344434189234</v>
      </c>
      <c r="U10" s="7">
        <f t="shared" ref="U10" si="12">AVERAGE(U3,U5,U6)</f>
        <v>75.106537293926593</v>
      </c>
    </row>
    <row r="11" spans="1:21" x14ac:dyDescent="0.25">
      <c r="A11" s="8" t="s">
        <v>35</v>
      </c>
      <c r="B11" s="8" t="s">
        <v>36</v>
      </c>
      <c r="C11" s="9">
        <f>_xlfn.STDEV.S(C3,C5,C6)</f>
        <v>1.5592412684807162</v>
      </c>
      <c r="D11" s="9">
        <f t="shared" ref="D11:T11" si="13">_xlfn.STDEV.S(D3,D5,D6)</f>
        <v>0.30892285984260415</v>
      </c>
      <c r="E11" s="9">
        <f t="shared" si="13"/>
        <v>0.40278199231511475</v>
      </c>
      <c r="F11" s="9">
        <f t="shared" si="13"/>
        <v>1.730789800447565</v>
      </c>
      <c r="G11" s="9">
        <f>_xlfn.STDEV.S(G3,G5,G4)</f>
        <v>5.131601439446818E-2</v>
      </c>
      <c r="H11" s="9">
        <f t="shared" si="13"/>
        <v>0.20502032419575703</v>
      </c>
      <c r="I11" s="9">
        <f t="shared" si="13"/>
        <v>0.30643106892088962</v>
      </c>
      <c r="J11" s="9">
        <f t="shared" si="13"/>
        <v>2.79264761696039</v>
      </c>
      <c r="K11" s="9">
        <f t="shared" si="13"/>
        <v>1.8603695703194634</v>
      </c>
      <c r="L11" s="9">
        <f t="shared" si="13"/>
        <v>1.447652327006056</v>
      </c>
      <c r="M11" s="9">
        <f t="shared" si="13"/>
        <v>5.8341814129993307E-2</v>
      </c>
      <c r="N11" s="9">
        <f t="shared" si="13"/>
        <v>0.11334628558849387</v>
      </c>
      <c r="O11" s="9">
        <f t="shared" si="13"/>
        <v>0.23365248228664579</v>
      </c>
      <c r="P11" s="9">
        <f t="shared" si="13"/>
        <v>0.18009256878986762</v>
      </c>
      <c r="Q11" s="9">
        <f t="shared" si="13"/>
        <v>1.7511847811006023E-2</v>
      </c>
      <c r="R11" s="9">
        <f t="shared" si="13"/>
        <v>8.3123446019627026E-2</v>
      </c>
      <c r="S11" s="9">
        <f t="shared" si="13"/>
        <v>1.1361974395348792E-2</v>
      </c>
      <c r="T11" s="9">
        <f t="shared" si="13"/>
        <v>0.13238889971029638</v>
      </c>
      <c r="U11" s="9">
        <f t="shared" ref="U11" si="14">_xlfn.STDEV.S(U3,U5,U6)</f>
        <v>1.6270503875166042</v>
      </c>
    </row>
    <row r="13" spans="1:21" ht="15.75" thickBot="1" x14ac:dyDescent="0.3">
      <c r="A13" s="2" t="s">
        <v>13</v>
      </c>
      <c r="B13" s="2" t="s">
        <v>14</v>
      </c>
    </row>
    <row r="14" spans="1:21" ht="15.75" thickTop="1" x14ac:dyDescent="0.25">
      <c r="A14" t="s">
        <v>15</v>
      </c>
      <c r="B14">
        <v>28.085000000000001</v>
      </c>
    </row>
    <row r="15" spans="1:21" x14ac:dyDescent="0.25">
      <c r="A15" t="s">
        <v>16</v>
      </c>
      <c r="B15">
        <v>15.999000000000001</v>
      </c>
    </row>
    <row r="16" spans="1:21" x14ac:dyDescent="0.25">
      <c r="A16" t="s">
        <v>31</v>
      </c>
      <c r="B16">
        <v>18.998000000000001</v>
      </c>
    </row>
    <row r="17" spans="1:3" x14ac:dyDescent="0.25">
      <c r="A17" t="s">
        <v>34</v>
      </c>
      <c r="B17">
        <v>35.450000000000003</v>
      </c>
    </row>
    <row r="18" spans="1:3" x14ac:dyDescent="0.25">
      <c r="A18" t="s">
        <v>17</v>
      </c>
      <c r="B18">
        <v>47.866999999999997</v>
      </c>
    </row>
    <row r="19" spans="1:3" x14ac:dyDescent="0.25">
      <c r="A19" t="s">
        <v>18</v>
      </c>
      <c r="B19">
        <v>12.010999999999999</v>
      </c>
    </row>
    <row r="20" spans="1:3" ht="15.75" thickBot="1" x14ac:dyDescent="0.3">
      <c r="A20" t="s">
        <v>19</v>
      </c>
      <c r="B20">
        <v>26.981999999999999</v>
      </c>
      <c r="C20" s="2" t="s">
        <v>20</v>
      </c>
    </row>
    <row r="21" spans="1:3" ht="15.75" thickTop="1" x14ac:dyDescent="0.25">
      <c r="A21" t="s">
        <v>21</v>
      </c>
      <c r="B21">
        <v>194.61</v>
      </c>
      <c r="C21">
        <f>(B18*3)/B21</f>
        <v>0.73789116694928314</v>
      </c>
    </row>
    <row r="22" spans="1:3" x14ac:dyDescent="0.25">
      <c r="A22" t="s">
        <v>22</v>
      </c>
      <c r="B22">
        <v>186.83</v>
      </c>
      <c r="C22">
        <f>(B18*3)/B22</f>
        <v>0.76861853021463356</v>
      </c>
    </row>
  </sheetData>
  <mergeCells count="2">
    <mergeCell ref="C1:I1"/>
    <mergeCell ref="J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Bird</dc:creator>
  <cp:lastModifiedBy>James Bird</cp:lastModifiedBy>
  <dcterms:created xsi:type="dcterms:W3CDTF">2023-07-24T16:05:09Z</dcterms:created>
  <dcterms:modified xsi:type="dcterms:W3CDTF">2023-07-28T09:55:56Z</dcterms:modified>
</cp:coreProperties>
</file>